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95" windowWidth="1528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'Sheet1'!$A$1:$L$60</definedName>
  </definedNames>
  <calcPr fullCalcOnLoad="1"/>
</workbook>
</file>

<file path=xl/sharedStrings.xml><?xml version="1.0" encoding="utf-8"?>
<sst xmlns="http://schemas.openxmlformats.org/spreadsheetml/2006/main" count="105" uniqueCount="77">
  <si>
    <t>Motor Efficiency</t>
  </si>
  <si>
    <t>a0</t>
  </si>
  <si>
    <t>a1</t>
  </si>
  <si>
    <t>a2</t>
  </si>
  <si>
    <t>a3</t>
  </si>
  <si>
    <t>a4</t>
  </si>
  <si>
    <t>a5</t>
  </si>
  <si>
    <t>u</t>
  </si>
  <si>
    <t>Wu</t>
  </si>
  <si>
    <t>Drawdown</t>
  </si>
  <si>
    <t xml:space="preserve"> </t>
  </si>
  <si>
    <t>Interest Rate</t>
  </si>
  <si>
    <t>Annual Amortization Cost</t>
  </si>
  <si>
    <t>WELL FUNCTION COEFFICIENTS</t>
  </si>
  <si>
    <t>Dr. William M. Turner</t>
  </si>
  <si>
    <t>Number of Required Wells</t>
  </si>
  <si>
    <t>Wells Required to Meet Demand</t>
  </si>
  <si>
    <t>Overall Pump Efficiency</t>
  </si>
  <si>
    <t>Wells Required Because of Excessive Drawdown</t>
  </si>
  <si>
    <t>%</t>
  </si>
  <si>
    <t>yrs</t>
  </si>
  <si>
    <t>BHP</t>
  </si>
  <si>
    <t>none</t>
  </si>
  <si>
    <t>Minimum New Well Cost</t>
  </si>
  <si>
    <t>Minimum Annual Total Pumping Cost</t>
  </si>
  <si>
    <t>Minimum Annual Pumping Cost Per Well</t>
  </si>
  <si>
    <t>Hourly Pumping Cost Per Well</t>
  </si>
  <si>
    <t>Hydraulic Conductivity</t>
  </si>
  <si>
    <t>Final Aquifer Transmissivity</t>
  </si>
  <si>
    <t>Storage Coefficient</t>
  </si>
  <si>
    <t>fraction</t>
  </si>
  <si>
    <t>Static Water Level</t>
  </si>
  <si>
    <t>Well Diameter</t>
  </si>
  <si>
    <t>Length of Original Water Column</t>
  </si>
  <si>
    <t>Length of Final Water Column</t>
  </si>
  <si>
    <t>Total Lift</t>
  </si>
  <si>
    <t>Pumping Period</t>
  </si>
  <si>
    <t>Electric Power Cost</t>
  </si>
  <si>
    <t>Diesel Fuel Cost</t>
  </si>
  <si>
    <t>Gasoline Fuel Cost</t>
  </si>
  <si>
    <t>Pump Horsepower</t>
  </si>
  <si>
    <t>Period of Amortization</t>
  </si>
  <si>
    <t>Annual Operation &amp; Amortization</t>
  </si>
  <si>
    <t>Aquifer Transmissivity</t>
  </si>
  <si>
    <t>m/d</t>
  </si>
  <si>
    <t>m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</si>
  <si>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/yr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</si>
  <si>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/d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</si>
  <si>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/min</t>
    </r>
  </si>
  <si>
    <t>Local/USgal</t>
  </si>
  <si>
    <t>Local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</si>
  <si>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</t>
    </r>
  </si>
  <si>
    <t>cm</t>
  </si>
  <si>
    <t>Well Cost Per Meter</t>
  </si>
  <si>
    <t>(Land, Buildings, Insurance, Salaries, Benefits,</t>
  </si>
  <si>
    <t>Overhead, Vehicles, etc.)</t>
  </si>
  <si>
    <t>SEE NOTES AT END OF TABLE</t>
  </si>
  <si>
    <t>3.  If local currency is used, results will be in local currency.</t>
  </si>
  <si>
    <t>4.  Maintenance costs have been entered based on power costs.  Experience from the City of Tucson indicates a multiplier of 2.22</t>
  </si>
  <si>
    <t>1.  Except for aquifer transmissivity enter data in Column E only for items in boldface type.  All other cells are calculated.</t>
  </si>
  <si>
    <t>SPREADSHEET FOR CALCULATION OF GROUND-WATER PRODUCTION COSTS IN LOCAL CURRENCY AND METRIC UNITS</t>
  </si>
  <si>
    <t>2.  Values for aquifer transmissivity may be entered in any cell in Row 10.</t>
  </si>
  <si>
    <t>Design Continuous Pumping Rate</t>
  </si>
  <si>
    <t>Total Annual Water Requirement</t>
  </si>
  <si>
    <t>Continuous Pumping Rate</t>
  </si>
  <si>
    <t>l/s</t>
  </si>
  <si>
    <t>Well Operating Factor</t>
  </si>
  <si>
    <t xml:space="preserve">     You may change this multiplier by changing the formula in Cell (E53).</t>
  </si>
  <si>
    <t>Annual Maintenance Cost Multiplier</t>
  </si>
  <si>
    <t>Annual Maintenance Cost</t>
  </si>
  <si>
    <t>6.  If you have suggestions for changes to this spreadsheet, please email us at: senatorbil@aol.com.</t>
  </si>
  <si>
    <t>Local/kWh</t>
  </si>
  <si>
    <t>5.  The Well Operating Factor is the proportion of time a well normally operates.  Includes off peak and maintenance down time.</t>
  </si>
  <si>
    <t xml:space="preserve">                    Tel: 011-505-843-7643</t>
  </si>
  <si>
    <t xml:space="preserve">                    Fax: 011-505-246-2232</t>
  </si>
  <si>
    <t xml:space="preserve">              Email: senatorbil@aol.com</t>
  </si>
  <si>
    <t xml:space="preserve">         http://www.agwconsultants.com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</si>
</sst>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000"/>
    <numFmt numFmtId="167" formatCode="0.000E+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 horizontal="left"/>
    </xf>
    <xf numFmtId="3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E2" sqref="E2"/>
    </sheetView>
  </sheetViews>
  <sheetFormatPr defaultColWidth="9.140625" defaultRowHeight="12.75"/>
  <cols>
    <col min="3" max="3" width="22.7109375" style="0" customWidth="1"/>
    <col min="4" max="4" width="11.7109375" style="0" customWidth="1"/>
    <col min="5" max="7" width="11.140625" style="0" customWidth="1"/>
    <col min="8" max="8" width="10.8515625" style="0" customWidth="1"/>
    <col min="9" max="10" width="10.7109375" style="0" customWidth="1"/>
    <col min="11" max="12" width="10.00390625" style="0" customWidth="1"/>
    <col min="14" max="14" width="0" style="0" hidden="1" customWidth="1"/>
    <col min="15" max="15" width="11.140625" style="0" hidden="1" customWidth="1"/>
    <col min="16" max="16" width="0" style="0" hidden="1" customWidth="1"/>
  </cols>
  <sheetData>
    <row r="1" ht="15.75">
      <c r="A1" s="7" t="s">
        <v>60</v>
      </c>
    </row>
    <row r="2" ht="15.75">
      <c r="A2" s="7"/>
    </row>
    <row r="3" spans="1:6" ht="15.75">
      <c r="A3" s="7"/>
      <c r="F3" s="6" t="s">
        <v>14</v>
      </c>
    </row>
    <row r="4" spans="1:6" ht="15.75">
      <c r="A4" s="7"/>
      <c r="E4" s="6" t="s">
        <v>76</v>
      </c>
      <c r="F4" s="6"/>
    </row>
    <row r="5" spans="1:6" ht="15.75">
      <c r="A5" s="7"/>
      <c r="E5" s="6" t="s">
        <v>75</v>
      </c>
      <c r="F5" s="6"/>
    </row>
    <row r="6" spans="1:6" ht="15.75">
      <c r="A6" s="7"/>
      <c r="E6" s="6" t="s">
        <v>73</v>
      </c>
      <c r="F6" s="6"/>
    </row>
    <row r="7" spans="1:6" ht="15.75">
      <c r="A7" s="7"/>
      <c r="E7" s="6" t="s">
        <v>74</v>
      </c>
      <c r="F7" s="6"/>
    </row>
    <row r="8" spans="1:6" ht="15.75">
      <c r="A8" s="7"/>
      <c r="F8" s="6"/>
    </row>
    <row r="9" ht="15.75">
      <c r="A9" s="7" t="s">
        <v>56</v>
      </c>
    </row>
    <row r="10" ht="12.75">
      <c r="A10" t="s">
        <v>10</v>
      </c>
    </row>
    <row r="11" spans="1:14" ht="12.75">
      <c r="A11" t="s">
        <v>27</v>
      </c>
      <c r="D11" t="s">
        <v>44</v>
      </c>
      <c r="E11" s="2">
        <f>E12/E17</f>
        <v>20</v>
      </c>
      <c r="F11" s="2">
        <f aca="true" t="shared" si="0" ref="F11:L11">F12/F17</f>
        <v>40</v>
      </c>
      <c r="G11" s="2">
        <f t="shared" si="0"/>
        <v>30</v>
      </c>
      <c r="H11" s="2">
        <f t="shared" si="0"/>
        <v>40</v>
      </c>
      <c r="I11" s="2">
        <f t="shared" si="0"/>
        <v>50</v>
      </c>
      <c r="J11" s="2">
        <f t="shared" si="0"/>
        <v>60</v>
      </c>
      <c r="K11" s="2">
        <f t="shared" si="0"/>
        <v>70</v>
      </c>
      <c r="L11" s="2">
        <f t="shared" si="0"/>
        <v>80</v>
      </c>
      <c r="N11" t="s">
        <v>13</v>
      </c>
    </row>
    <row r="12" spans="1:15" ht="14.25">
      <c r="A12" s="6" t="s">
        <v>43</v>
      </c>
      <c r="D12" t="s">
        <v>47</v>
      </c>
      <c r="E12" s="9">
        <v>1000</v>
      </c>
      <c r="F12" s="9">
        <v>2000</v>
      </c>
      <c r="G12" s="9">
        <v>1500</v>
      </c>
      <c r="H12" s="9">
        <v>2000</v>
      </c>
      <c r="I12" s="9">
        <v>2500</v>
      </c>
      <c r="J12" s="9">
        <v>3000</v>
      </c>
      <c r="K12" s="9">
        <v>3500</v>
      </c>
      <c r="L12" s="9">
        <v>4000</v>
      </c>
      <c r="N12" t="s">
        <v>1</v>
      </c>
      <c r="O12" s="1">
        <v>-0.57721566</v>
      </c>
    </row>
    <row r="13" spans="1:15" ht="14.25">
      <c r="A13" t="s">
        <v>28</v>
      </c>
      <c r="D13" t="s">
        <v>47</v>
      </c>
      <c r="E13" s="9">
        <f aca="true" t="shared" si="1" ref="E13:L13">E11*E18*7.48</f>
        <v>6066.098019638011</v>
      </c>
      <c r="F13" s="9">
        <f t="shared" si="1"/>
        <v>13491.123368834697</v>
      </c>
      <c r="G13" s="9">
        <f t="shared" si="1"/>
        <v>9751.123368834698</v>
      </c>
      <c r="H13" s="9">
        <f t="shared" si="1"/>
        <v>13491.123368834697</v>
      </c>
      <c r="I13" s="9">
        <f t="shared" si="1"/>
        <v>17231.1233688347</v>
      </c>
      <c r="J13" s="9">
        <f t="shared" si="1"/>
        <v>20971.1233688347</v>
      </c>
      <c r="K13" s="9">
        <f t="shared" si="1"/>
        <v>24711.1233688347</v>
      </c>
      <c r="L13" s="9">
        <f t="shared" si="1"/>
        <v>28451.1233688347</v>
      </c>
      <c r="N13" t="s">
        <v>2</v>
      </c>
      <c r="O13" s="1">
        <v>0.99999193</v>
      </c>
    </row>
    <row r="14" spans="1:15" ht="12.75">
      <c r="A14" s="6" t="s">
        <v>29</v>
      </c>
      <c r="D14" t="s">
        <v>30</v>
      </c>
      <c r="E14">
        <v>0.1</v>
      </c>
      <c r="F14">
        <f>E$14</f>
        <v>0.1</v>
      </c>
      <c r="G14">
        <f aca="true" t="shared" si="2" ref="G14:L14">F$14</f>
        <v>0.1</v>
      </c>
      <c r="H14">
        <f t="shared" si="2"/>
        <v>0.1</v>
      </c>
      <c r="I14">
        <f t="shared" si="2"/>
        <v>0.1</v>
      </c>
      <c r="J14">
        <f t="shared" si="2"/>
        <v>0.1</v>
      </c>
      <c r="K14">
        <f t="shared" si="2"/>
        <v>0.1</v>
      </c>
      <c r="L14">
        <f t="shared" si="2"/>
        <v>0.1</v>
      </c>
      <c r="N14" t="s">
        <v>3</v>
      </c>
      <c r="O14" s="1">
        <v>-0.24991055</v>
      </c>
    </row>
    <row r="15" spans="1:15" ht="12.75">
      <c r="A15" s="6" t="s">
        <v>31</v>
      </c>
      <c r="D15" t="s">
        <v>45</v>
      </c>
      <c r="E15">
        <v>30</v>
      </c>
      <c r="F15">
        <f>+E15</f>
        <v>30</v>
      </c>
      <c r="G15">
        <f aca="true" t="shared" si="3" ref="G15:L15">+$E$15</f>
        <v>30</v>
      </c>
      <c r="H15">
        <f t="shared" si="3"/>
        <v>30</v>
      </c>
      <c r="I15">
        <f t="shared" si="3"/>
        <v>30</v>
      </c>
      <c r="J15">
        <f t="shared" si="3"/>
        <v>30</v>
      </c>
      <c r="K15">
        <f t="shared" si="3"/>
        <v>30</v>
      </c>
      <c r="L15">
        <f t="shared" si="3"/>
        <v>30</v>
      </c>
      <c r="N15" t="s">
        <v>4</v>
      </c>
      <c r="O15" s="1">
        <v>0.05519968</v>
      </c>
    </row>
    <row r="16" spans="1:15" ht="12.75">
      <c r="A16" s="6" t="s">
        <v>32</v>
      </c>
      <c r="D16" t="s">
        <v>52</v>
      </c>
      <c r="E16">
        <v>46</v>
      </c>
      <c r="F16">
        <f>+E16</f>
        <v>46</v>
      </c>
      <c r="G16">
        <f aca="true" t="shared" si="4" ref="G16:L16">+F16</f>
        <v>46</v>
      </c>
      <c r="H16">
        <f t="shared" si="4"/>
        <v>46</v>
      </c>
      <c r="I16">
        <f t="shared" si="4"/>
        <v>46</v>
      </c>
      <c r="J16">
        <f t="shared" si="4"/>
        <v>46</v>
      </c>
      <c r="K16">
        <f t="shared" si="4"/>
        <v>46</v>
      </c>
      <c r="L16">
        <f t="shared" si="4"/>
        <v>46</v>
      </c>
      <c r="N16" t="s">
        <v>5</v>
      </c>
      <c r="O16" s="1">
        <v>-0.00976004</v>
      </c>
    </row>
    <row r="17" spans="1:15" ht="12.75">
      <c r="A17" s="6" t="s">
        <v>33</v>
      </c>
      <c r="D17" t="s">
        <v>45</v>
      </c>
      <c r="E17">
        <v>50</v>
      </c>
      <c r="F17">
        <f>$E$17</f>
        <v>50</v>
      </c>
      <c r="G17">
        <f aca="true" t="shared" si="5" ref="G17:L17">$E$17</f>
        <v>50</v>
      </c>
      <c r="H17">
        <f t="shared" si="5"/>
        <v>50</v>
      </c>
      <c r="I17">
        <f t="shared" si="5"/>
        <v>50</v>
      </c>
      <c r="J17">
        <f t="shared" si="5"/>
        <v>50</v>
      </c>
      <c r="K17">
        <f t="shared" si="5"/>
        <v>50</v>
      </c>
      <c r="L17">
        <f t="shared" si="5"/>
        <v>50</v>
      </c>
      <c r="N17" t="s">
        <v>6</v>
      </c>
      <c r="O17" s="1">
        <v>0.00107857</v>
      </c>
    </row>
    <row r="18" spans="1:15" ht="12.75">
      <c r="A18" t="s">
        <v>34</v>
      </c>
      <c r="D18" t="s">
        <v>45</v>
      </c>
      <c r="E18" s="2">
        <f aca="true" t="shared" si="6" ref="E18:L18">E17-E42</f>
        <v>40.54878355373002</v>
      </c>
      <c r="F18" s="2">
        <f t="shared" si="6"/>
        <v>45.0906529707042</v>
      </c>
      <c r="G18" s="2">
        <f t="shared" si="6"/>
        <v>43.45420396093893</v>
      </c>
      <c r="H18" s="2">
        <f t="shared" si="6"/>
        <v>45.0906529707042</v>
      </c>
      <c r="I18" s="2">
        <f t="shared" si="6"/>
        <v>46.07252237656336</v>
      </c>
      <c r="J18" s="2">
        <f t="shared" si="6"/>
        <v>46.72710198046947</v>
      </c>
      <c r="K18" s="2">
        <f t="shared" si="6"/>
        <v>47.1946588404024</v>
      </c>
      <c r="L18" s="2">
        <f t="shared" si="6"/>
        <v>47.5453264853521</v>
      </c>
      <c r="N18" t="s">
        <v>10</v>
      </c>
      <c r="O18" s="1" t="s">
        <v>10</v>
      </c>
    </row>
    <row r="19" spans="1:12" ht="12.75">
      <c r="A19" t="s">
        <v>9</v>
      </c>
      <c r="D19" t="s">
        <v>45</v>
      </c>
      <c r="E19" s="3">
        <f>(E23*E41)/(12.566*E12)</f>
        <v>9.451216446269985</v>
      </c>
      <c r="F19" s="3">
        <f aca="true" t="shared" si="7" ref="F19:L19">(F23*F41)/(12.566*F12)</f>
        <v>4.909347029295799</v>
      </c>
      <c r="G19" s="3">
        <f t="shared" si="7"/>
        <v>6.545796039061065</v>
      </c>
      <c r="H19" s="3">
        <f t="shared" si="7"/>
        <v>4.909347029295799</v>
      </c>
      <c r="I19" s="3">
        <f t="shared" si="7"/>
        <v>3.9274776234366393</v>
      </c>
      <c r="J19" s="3">
        <f t="shared" si="7"/>
        <v>3.2728980195305324</v>
      </c>
      <c r="K19" s="3">
        <f t="shared" si="7"/>
        <v>2.8053411595975994</v>
      </c>
      <c r="L19" s="3">
        <f t="shared" si="7"/>
        <v>2.4546735146478995</v>
      </c>
    </row>
    <row r="20" spans="1:15" ht="12.75">
      <c r="A20" t="s">
        <v>35</v>
      </c>
      <c r="D20" t="s">
        <v>45</v>
      </c>
      <c r="E20" s="2">
        <f aca="true" t="shared" si="8" ref="E20:L20">E17+E42</f>
        <v>59.45121644626998</v>
      </c>
      <c r="F20" s="2">
        <f t="shared" si="8"/>
        <v>54.9093470292958</v>
      </c>
      <c r="G20" s="2">
        <f t="shared" si="8"/>
        <v>56.54579603906107</v>
      </c>
      <c r="H20" s="2">
        <f t="shared" si="8"/>
        <v>54.9093470292958</v>
      </c>
      <c r="I20" s="2">
        <f t="shared" si="8"/>
        <v>53.92747762343664</v>
      </c>
      <c r="J20" s="2">
        <f t="shared" si="8"/>
        <v>53.27289801953053</v>
      </c>
      <c r="K20" s="2">
        <f t="shared" si="8"/>
        <v>52.8053411595976</v>
      </c>
      <c r="L20" s="2">
        <f t="shared" si="8"/>
        <v>52.4546735146479</v>
      </c>
      <c r="O20" s="1"/>
    </row>
    <row r="21" spans="1:12" ht="12.75">
      <c r="A21" s="6" t="s">
        <v>36</v>
      </c>
      <c r="D21" t="s">
        <v>20</v>
      </c>
      <c r="E21">
        <v>1</v>
      </c>
      <c r="F21">
        <f>$E$21</f>
        <v>1</v>
      </c>
      <c r="G21">
        <f aca="true" t="shared" si="9" ref="G21:L21">$E$21</f>
        <v>1</v>
      </c>
      <c r="H21">
        <f t="shared" si="9"/>
        <v>1</v>
      </c>
      <c r="I21">
        <f t="shared" si="9"/>
        <v>1</v>
      </c>
      <c r="J21">
        <f t="shared" si="9"/>
        <v>1</v>
      </c>
      <c r="K21">
        <f t="shared" si="9"/>
        <v>1</v>
      </c>
      <c r="L21">
        <f t="shared" si="9"/>
        <v>1</v>
      </c>
    </row>
    <row r="22" spans="1:5" ht="12.75">
      <c r="A22" s="6"/>
      <c r="E22" t="s">
        <v>10</v>
      </c>
    </row>
    <row r="23" spans="1:15" ht="14.25">
      <c r="A23" s="6" t="s">
        <v>62</v>
      </c>
      <c r="D23" t="s">
        <v>51</v>
      </c>
      <c r="E23" s="9">
        <v>8000</v>
      </c>
      <c r="F23" s="9">
        <f>$E$23</f>
        <v>8000</v>
      </c>
      <c r="G23" s="9">
        <f aca="true" t="shared" si="10" ref="G23:L23">$E$23</f>
        <v>8000</v>
      </c>
      <c r="H23" s="9">
        <f t="shared" si="10"/>
        <v>8000</v>
      </c>
      <c r="I23" s="9">
        <f t="shared" si="10"/>
        <v>8000</v>
      </c>
      <c r="J23" s="9">
        <f t="shared" si="10"/>
        <v>8000</v>
      </c>
      <c r="K23" s="9">
        <f t="shared" si="10"/>
        <v>8000</v>
      </c>
      <c r="L23" s="9">
        <f t="shared" si="10"/>
        <v>8000</v>
      </c>
      <c r="O23" s="1"/>
    </row>
    <row r="24" spans="1:15" ht="14.25">
      <c r="A24" s="6" t="s">
        <v>63</v>
      </c>
      <c r="D24" s="8" t="s">
        <v>46</v>
      </c>
      <c r="E24" s="9">
        <v>5000000</v>
      </c>
      <c r="F24" s="12">
        <f>$E24</f>
        <v>5000000</v>
      </c>
      <c r="G24" s="12">
        <f aca="true" t="shared" si="11" ref="G24:L25">$E24</f>
        <v>5000000</v>
      </c>
      <c r="H24" s="12">
        <f t="shared" si="11"/>
        <v>5000000</v>
      </c>
      <c r="I24" s="12">
        <f t="shared" si="11"/>
        <v>5000000</v>
      </c>
      <c r="J24" s="12">
        <f t="shared" si="11"/>
        <v>5000000</v>
      </c>
      <c r="K24" s="12">
        <f t="shared" si="11"/>
        <v>5000000</v>
      </c>
      <c r="L24" s="12">
        <f t="shared" si="11"/>
        <v>5000000</v>
      </c>
      <c r="O24" s="1"/>
    </row>
    <row r="25" spans="1:15" ht="14.25">
      <c r="A25" s="8" t="s">
        <v>64</v>
      </c>
      <c r="D25" s="8" t="s">
        <v>48</v>
      </c>
      <c r="E25" s="2">
        <f>E23/1440</f>
        <v>5.555555555555555</v>
      </c>
      <c r="F25" s="2">
        <f>$E25</f>
        <v>5.555555555555555</v>
      </c>
      <c r="G25" s="2">
        <f t="shared" si="11"/>
        <v>5.555555555555555</v>
      </c>
      <c r="H25" s="2">
        <f t="shared" si="11"/>
        <v>5.555555555555555</v>
      </c>
      <c r="I25" s="2">
        <f t="shared" si="11"/>
        <v>5.555555555555555</v>
      </c>
      <c r="J25" s="2">
        <f t="shared" si="11"/>
        <v>5.555555555555555</v>
      </c>
      <c r="K25" s="2">
        <f t="shared" si="11"/>
        <v>5.555555555555555</v>
      </c>
      <c r="L25" s="2">
        <f t="shared" si="11"/>
        <v>5.555555555555555</v>
      </c>
      <c r="O25" s="1"/>
    </row>
    <row r="26" spans="1:15" ht="12.75">
      <c r="A26" s="8" t="s">
        <v>64</v>
      </c>
      <c r="D26" s="8" t="s">
        <v>65</v>
      </c>
      <c r="E26" s="3">
        <f>E25/16.67</f>
        <v>0.33326667999733384</v>
      </c>
      <c r="F26" s="3">
        <f aca="true" t="shared" si="12" ref="F26:L26">F25/16.67</f>
        <v>0.33326667999733384</v>
      </c>
      <c r="G26" s="3">
        <f t="shared" si="12"/>
        <v>0.33326667999733384</v>
      </c>
      <c r="H26" s="3">
        <f t="shared" si="12"/>
        <v>0.33326667999733384</v>
      </c>
      <c r="I26" s="3">
        <f t="shared" si="12"/>
        <v>0.33326667999733384</v>
      </c>
      <c r="J26" s="3">
        <f t="shared" si="12"/>
        <v>0.33326667999733384</v>
      </c>
      <c r="K26" s="3">
        <f t="shared" si="12"/>
        <v>0.33326667999733384</v>
      </c>
      <c r="L26" s="3">
        <f t="shared" si="12"/>
        <v>0.33326667999733384</v>
      </c>
      <c r="O26" s="1"/>
    </row>
    <row r="27" spans="1:15" ht="12.75">
      <c r="A27" s="8"/>
      <c r="E27" s="2"/>
      <c r="F27" s="2"/>
      <c r="G27" s="2"/>
      <c r="H27" s="2"/>
      <c r="I27" s="2"/>
      <c r="J27" s="2"/>
      <c r="K27" s="2"/>
      <c r="L27" s="2"/>
      <c r="O27" s="1"/>
    </row>
    <row r="28" spans="1:15" ht="12.75">
      <c r="A28" s="6" t="s">
        <v>37</v>
      </c>
      <c r="D28" t="s">
        <v>71</v>
      </c>
      <c r="E28">
        <v>0.1</v>
      </c>
      <c r="F28">
        <f>$E$28</f>
        <v>0.1</v>
      </c>
      <c r="G28">
        <f aca="true" t="shared" si="13" ref="G28:L28">$E$28</f>
        <v>0.1</v>
      </c>
      <c r="H28">
        <f t="shared" si="13"/>
        <v>0.1</v>
      </c>
      <c r="I28">
        <f t="shared" si="13"/>
        <v>0.1</v>
      </c>
      <c r="J28">
        <f t="shared" si="13"/>
        <v>0.1</v>
      </c>
      <c r="K28">
        <f t="shared" si="13"/>
        <v>0.1</v>
      </c>
      <c r="L28">
        <f t="shared" si="13"/>
        <v>0.1</v>
      </c>
      <c r="N28" t="s">
        <v>10</v>
      </c>
      <c r="O28" s="1" t="s">
        <v>10</v>
      </c>
    </row>
    <row r="29" spans="1:15" ht="12.75">
      <c r="A29" s="6" t="s">
        <v>38</v>
      </c>
      <c r="D29" t="s">
        <v>49</v>
      </c>
      <c r="E29">
        <v>0</v>
      </c>
      <c r="F29">
        <f>$E$29</f>
        <v>0</v>
      </c>
      <c r="G29">
        <f aca="true" t="shared" si="14" ref="G29:L29">$E$29</f>
        <v>0</v>
      </c>
      <c r="H29">
        <f t="shared" si="14"/>
        <v>0</v>
      </c>
      <c r="I29">
        <f t="shared" si="14"/>
        <v>0</v>
      </c>
      <c r="J29">
        <f t="shared" si="14"/>
        <v>0</v>
      </c>
      <c r="K29">
        <f t="shared" si="14"/>
        <v>0</v>
      </c>
      <c r="L29">
        <f t="shared" si="14"/>
        <v>0</v>
      </c>
      <c r="O29" s="1"/>
    </row>
    <row r="30" spans="1:15" ht="12.75">
      <c r="A30" s="6" t="s">
        <v>39</v>
      </c>
      <c r="D30" t="s">
        <v>49</v>
      </c>
      <c r="E30">
        <v>0</v>
      </c>
      <c r="F30">
        <f>$E$30</f>
        <v>0</v>
      </c>
      <c r="G30">
        <f aca="true" t="shared" si="15" ref="G30:L30">$E$30</f>
        <v>0</v>
      </c>
      <c r="H30">
        <f t="shared" si="15"/>
        <v>0</v>
      </c>
      <c r="I30">
        <f t="shared" si="15"/>
        <v>0</v>
      </c>
      <c r="J30">
        <f t="shared" si="15"/>
        <v>0</v>
      </c>
      <c r="K30">
        <f t="shared" si="15"/>
        <v>0</v>
      </c>
      <c r="L30">
        <f t="shared" si="15"/>
        <v>0</v>
      </c>
      <c r="O30" s="1"/>
    </row>
    <row r="31" spans="1:15" ht="12.75">
      <c r="A31" s="6"/>
      <c r="O31" s="1"/>
    </row>
    <row r="32" spans="1:12" ht="12.75">
      <c r="A32" s="6" t="s">
        <v>17</v>
      </c>
      <c r="D32" t="s">
        <v>30</v>
      </c>
      <c r="E32">
        <v>0.7</v>
      </c>
      <c r="F32">
        <f>E$32</f>
        <v>0.7</v>
      </c>
      <c r="G32">
        <f aca="true" t="shared" si="16" ref="G32:L32">F$32</f>
        <v>0.7</v>
      </c>
      <c r="H32">
        <f t="shared" si="16"/>
        <v>0.7</v>
      </c>
      <c r="I32">
        <f t="shared" si="16"/>
        <v>0.7</v>
      </c>
      <c r="J32">
        <f t="shared" si="16"/>
        <v>0.7</v>
      </c>
      <c r="K32">
        <f t="shared" si="16"/>
        <v>0.7</v>
      </c>
      <c r="L32">
        <f t="shared" si="16"/>
        <v>0.7</v>
      </c>
    </row>
    <row r="33" spans="1:12" ht="12.75">
      <c r="A33" s="6" t="s">
        <v>0</v>
      </c>
      <c r="D33" t="s">
        <v>30</v>
      </c>
      <c r="E33">
        <v>0.7</v>
      </c>
      <c r="F33">
        <f>E$33</f>
        <v>0.7</v>
      </c>
      <c r="G33">
        <f aca="true" t="shared" si="17" ref="G33:L33">F$33</f>
        <v>0.7</v>
      </c>
      <c r="H33">
        <f t="shared" si="17"/>
        <v>0.7</v>
      </c>
      <c r="I33">
        <f t="shared" si="17"/>
        <v>0.7</v>
      </c>
      <c r="J33">
        <f t="shared" si="17"/>
        <v>0.7</v>
      </c>
      <c r="K33">
        <f t="shared" si="17"/>
        <v>0.7</v>
      </c>
      <c r="L33">
        <f t="shared" si="17"/>
        <v>0.7</v>
      </c>
    </row>
    <row r="34" spans="1:12" ht="12.75">
      <c r="A34" s="8" t="s">
        <v>40</v>
      </c>
      <c r="D34" t="s">
        <v>21</v>
      </c>
      <c r="E34" s="2">
        <f>(E23*E20)/(6571*E32)</f>
        <v>103.40016339547358</v>
      </c>
      <c r="F34" s="2">
        <f aca="true" t="shared" si="18" ref="F34:L34">(F23*F20)/(6571*F32)</f>
        <v>95.50074488213718</v>
      </c>
      <c r="G34" s="2">
        <f t="shared" si="18"/>
        <v>98.34692878067887</v>
      </c>
      <c r="H34" s="2">
        <f t="shared" si="18"/>
        <v>95.50074488213718</v>
      </c>
      <c r="I34" s="2">
        <f t="shared" si="18"/>
        <v>93.79303454301218</v>
      </c>
      <c r="J34" s="2">
        <f t="shared" si="18"/>
        <v>92.6545609835955</v>
      </c>
      <c r="K34" s="2">
        <f t="shared" si="18"/>
        <v>91.84136558401218</v>
      </c>
      <c r="L34" s="2">
        <f t="shared" si="18"/>
        <v>91.23146903432469</v>
      </c>
    </row>
    <row r="35" spans="1:12" ht="12.75">
      <c r="A35" s="6" t="s">
        <v>66</v>
      </c>
      <c r="D35" t="s">
        <v>30</v>
      </c>
      <c r="E35">
        <v>0.6</v>
      </c>
      <c r="F35">
        <v>0.6</v>
      </c>
      <c r="G35">
        <v>0.6</v>
      </c>
      <c r="H35">
        <v>0.6</v>
      </c>
      <c r="I35">
        <v>0.6</v>
      </c>
      <c r="J35">
        <v>0.6</v>
      </c>
      <c r="K35">
        <v>0.6</v>
      </c>
      <c r="L35">
        <v>0.6</v>
      </c>
    </row>
    <row r="37" spans="1:12" ht="12.75">
      <c r="A37" s="6" t="s">
        <v>11</v>
      </c>
      <c r="D37" t="s">
        <v>19</v>
      </c>
      <c r="E37">
        <v>7.5</v>
      </c>
      <c r="F37">
        <f>$E37</f>
        <v>7.5</v>
      </c>
      <c r="G37">
        <f aca="true" t="shared" si="19" ref="G37:L37">$E37</f>
        <v>7.5</v>
      </c>
      <c r="H37">
        <f t="shared" si="19"/>
        <v>7.5</v>
      </c>
      <c r="I37">
        <f t="shared" si="19"/>
        <v>7.5</v>
      </c>
      <c r="J37">
        <f t="shared" si="19"/>
        <v>7.5</v>
      </c>
      <c r="K37">
        <f t="shared" si="19"/>
        <v>7.5</v>
      </c>
      <c r="L37">
        <f t="shared" si="19"/>
        <v>7.5</v>
      </c>
    </row>
    <row r="38" spans="1:12" ht="12.75">
      <c r="A38" s="6" t="s">
        <v>41</v>
      </c>
      <c r="D38" t="s">
        <v>20</v>
      </c>
      <c r="E38">
        <v>30</v>
      </c>
      <c r="F38">
        <f>E$38</f>
        <v>30</v>
      </c>
      <c r="G38">
        <f aca="true" t="shared" si="20" ref="G38:L38">F$38</f>
        <v>30</v>
      </c>
      <c r="H38">
        <f t="shared" si="20"/>
        <v>30</v>
      </c>
      <c r="I38">
        <f t="shared" si="20"/>
        <v>30</v>
      </c>
      <c r="J38">
        <f t="shared" si="20"/>
        <v>30</v>
      </c>
      <c r="K38">
        <f t="shared" si="20"/>
        <v>30</v>
      </c>
      <c r="L38">
        <f t="shared" si="20"/>
        <v>30</v>
      </c>
    </row>
    <row r="40" spans="1:12" ht="12.75">
      <c r="A40" t="s">
        <v>7</v>
      </c>
      <c r="D40" t="s">
        <v>22</v>
      </c>
      <c r="E40" s="4">
        <f>((E16/100)*E14)/(12.566*E17*E21*365.25)</f>
        <v>2.004474553685766E-07</v>
      </c>
      <c r="F40" s="4">
        <f aca="true" t="shared" si="21" ref="F40:L40">((F16/100)*F14)/(12.566*F17*F21*365.25)</f>
        <v>2.004474553685766E-07</v>
      </c>
      <c r="G40" s="4">
        <f t="shared" si="21"/>
        <v>2.004474553685766E-07</v>
      </c>
      <c r="H40" s="4">
        <f t="shared" si="21"/>
        <v>2.004474553685766E-07</v>
      </c>
      <c r="I40" s="4">
        <f t="shared" si="21"/>
        <v>2.004474553685766E-07</v>
      </c>
      <c r="J40" s="4">
        <f t="shared" si="21"/>
        <v>2.004474553685766E-07</v>
      </c>
      <c r="K40" s="4">
        <f t="shared" si="21"/>
        <v>2.004474553685766E-07</v>
      </c>
      <c r="L40" s="4">
        <f t="shared" si="21"/>
        <v>2.004474553685766E-07</v>
      </c>
    </row>
    <row r="41" spans="1:12" ht="12.75">
      <c r="A41" t="s">
        <v>8</v>
      </c>
      <c r="D41" t="s">
        <v>22</v>
      </c>
      <c r="E41" s="3">
        <f aca="true" t="shared" si="22" ref="E41:L41">-LN(E40)+O12+O13*E40+O14*E40^2+O15*E40^3+O16*E40^4+O17*E40^5</f>
        <v>14.84549823297858</v>
      </c>
      <c r="F41" s="3">
        <f t="shared" si="22"/>
        <v>15.422713692532753</v>
      </c>
      <c r="G41" s="3">
        <f t="shared" si="22"/>
        <v>15.422713692532753</v>
      </c>
      <c r="H41" s="3">
        <f t="shared" si="22"/>
        <v>15.422713692532753</v>
      </c>
      <c r="I41" s="3">
        <f t="shared" si="22"/>
        <v>15.422713692532753</v>
      </c>
      <c r="J41" s="3">
        <f t="shared" si="22"/>
        <v>15.422713692532753</v>
      </c>
      <c r="K41" s="3">
        <f t="shared" si="22"/>
        <v>15.422713692532753</v>
      </c>
      <c r="L41" s="3">
        <f t="shared" si="22"/>
        <v>15.422713692532753</v>
      </c>
    </row>
    <row r="42" spans="1:12" ht="12.75">
      <c r="A42" t="s">
        <v>9</v>
      </c>
      <c r="D42" t="s">
        <v>45</v>
      </c>
      <c r="E42" s="3">
        <f>(E23*E41)/(12.566*E12)</f>
        <v>9.451216446269985</v>
      </c>
      <c r="F42" s="3">
        <f aca="true" t="shared" si="23" ref="F42:L42">(F23*F41)/(12.566*F12)</f>
        <v>4.909347029295799</v>
      </c>
      <c r="G42" s="3">
        <f t="shared" si="23"/>
        <v>6.545796039061065</v>
      </c>
      <c r="H42" s="3">
        <f t="shared" si="23"/>
        <v>4.909347029295799</v>
      </c>
      <c r="I42" s="3">
        <f t="shared" si="23"/>
        <v>3.9274776234366393</v>
      </c>
      <c r="J42" s="3">
        <f t="shared" si="23"/>
        <v>3.2728980195305324</v>
      </c>
      <c r="K42" s="3">
        <f t="shared" si="23"/>
        <v>2.8053411595975994</v>
      </c>
      <c r="L42" s="3">
        <f t="shared" si="23"/>
        <v>2.4546735146478995</v>
      </c>
    </row>
    <row r="43" spans="5:12" ht="12.75">
      <c r="E43" s="3"/>
      <c r="F43" s="3"/>
      <c r="G43" s="3"/>
      <c r="H43" s="3"/>
      <c r="I43" s="3"/>
      <c r="J43" s="3"/>
      <c r="K43" s="3"/>
      <c r="L43" s="3"/>
    </row>
    <row r="44" spans="1:12" ht="12.75">
      <c r="A44" t="s">
        <v>26</v>
      </c>
      <c r="D44" t="s">
        <v>50</v>
      </c>
      <c r="E44" s="3">
        <f>IF(AND(E29=0,E30=0),(E34*E28*0.746)/(E33),IF(AND(E28=0,E30=0),(E34*E29*0.065),IF(AND(E29=0,E29=0),(E34*E30*0.11))))</f>
        <v>11.019503127574758</v>
      </c>
      <c r="F44" s="3">
        <f aca="true" t="shared" si="24" ref="F44:L44">IF(AND(F29=0,F30=0),(F34*F28*0.746)/(F33),IF(AND(F28=0,F30=0),(F34*F29*0.065),IF(AND(F29=0,F29=0),(F34*F30*0.11))))</f>
        <v>10.177650811724908</v>
      </c>
      <c r="G44" s="3">
        <f t="shared" si="24"/>
        <v>10.480972695769491</v>
      </c>
      <c r="H44" s="3">
        <f t="shared" si="24"/>
        <v>10.177650811724908</v>
      </c>
      <c r="I44" s="3">
        <f t="shared" si="24"/>
        <v>9.995657681298157</v>
      </c>
      <c r="J44" s="3">
        <f t="shared" si="24"/>
        <v>9.87432892768032</v>
      </c>
      <c r="K44" s="3">
        <f t="shared" si="24"/>
        <v>9.787665532239014</v>
      </c>
      <c r="L44" s="3">
        <f t="shared" si="24"/>
        <v>9.722667985658031</v>
      </c>
    </row>
    <row r="45" spans="1:12" ht="12.75">
      <c r="A45" t="s">
        <v>25</v>
      </c>
      <c r="D45" t="s">
        <v>50</v>
      </c>
      <c r="E45" s="10">
        <f>E44*8760</f>
        <v>96530.84739755488</v>
      </c>
      <c r="F45" s="10">
        <f aca="true" t="shared" si="25" ref="F45:L45">F44*8760</f>
        <v>89156.22111071019</v>
      </c>
      <c r="G45" s="10">
        <f t="shared" si="25"/>
        <v>91813.32081494074</v>
      </c>
      <c r="H45" s="10">
        <f t="shared" si="25"/>
        <v>89156.22111071019</v>
      </c>
      <c r="I45" s="10">
        <f t="shared" si="25"/>
        <v>87561.96128817185</v>
      </c>
      <c r="J45" s="10">
        <f t="shared" si="25"/>
        <v>86499.12140647961</v>
      </c>
      <c r="K45" s="10">
        <f t="shared" si="25"/>
        <v>85739.95006241376</v>
      </c>
      <c r="L45" s="10">
        <f t="shared" si="25"/>
        <v>85170.57155436436</v>
      </c>
    </row>
    <row r="46" spans="1:12" ht="12.75">
      <c r="A46" t="s">
        <v>24</v>
      </c>
      <c r="D46" t="s">
        <v>50</v>
      </c>
      <c r="E46" s="10">
        <f>E45*E52</f>
        <v>160884.74566259148</v>
      </c>
      <c r="F46" s="10">
        <f aca="true" t="shared" si="26" ref="F46:L46">F45*F52</f>
        <v>148593.70185118366</v>
      </c>
      <c r="G46" s="10">
        <f t="shared" si="26"/>
        <v>153022.20135823457</v>
      </c>
      <c r="H46" s="10">
        <f t="shared" si="26"/>
        <v>148593.70185118366</v>
      </c>
      <c r="I46" s="10">
        <f t="shared" si="26"/>
        <v>145936.60214695308</v>
      </c>
      <c r="J46" s="10">
        <f t="shared" si="26"/>
        <v>144165.20234413267</v>
      </c>
      <c r="K46" s="10">
        <f t="shared" si="26"/>
        <v>142899.9167706896</v>
      </c>
      <c r="L46" s="10">
        <f t="shared" si="26"/>
        <v>141950.95259060728</v>
      </c>
    </row>
    <row r="47" spans="5:12" ht="12.75">
      <c r="E47" s="2"/>
      <c r="F47" s="2"/>
      <c r="G47" s="2"/>
      <c r="H47" s="2"/>
      <c r="I47" s="2"/>
      <c r="J47" s="2"/>
      <c r="K47" s="2"/>
      <c r="L47" s="2"/>
    </row>
    <row r="48" spans="1:12" ht="12.75">
      <c r="A48" s="6" t="s">
        <v>53</v>
      </c>
      <c r="B48" s="6"/>
      <c r="C48" s="6"/>
      <c r="D48" s="6" t="s">
        <v>50</v>
      </c>
      <c r="E48" s="2">
        <v>300</v>
      </c>
      <c r="F48" s="2">
        <f>$E48</f>
        <v>300</v>
      </c>
      <c r="G48" s="2">
        <f aca="true" t="shared" si="27" ref="G48:L48">$E48</f>
        <v>300</v>
      </c>
      <c r="H48" s="2">
        <f t="shared" si="27"/>
        <v>300</v>
      </c>
      <c r="I48" s="2">
        <f t="shared" si="27"/>
        <v>300</v>
      </c>
      <c r="J48" s="2">
        <f t="shared" si="27"/>
        <v>300</v>
      </c>
      <c r="K48" s="2">
        <f t="shared" si="27"/>
        <v>300</v>
      </c>
      <c r="L48" s="2">
        <f t="shared" si="27"/>
        <v>300</v>
      </c>
    </row>
    <row r="49" spans="1:12" ht="12.75">
      <c r="A49" t="s">
        <v>23</v>
      </c>
      <c r="D49" t="s">
        <v>50</v>
      </c>
      <c r="E49" s="13">
        <v>16000</v>
      </c>
      <c r="F49" s="10">
        <f aca="true" t="shared" si="28" ref="F49:L49">F16*F48*(F15+F17+F19)</f>
        <v>1171748.989004282</v>
      </c>
      <c r="G49" s="10">
        <f t="shared" si="28"/>
        <v>1194331.9853390427</v>
      </c>
      <c r="H49" s="10">
        <f t="shared" si="28"/>
        <v>1171748.989004282</v>
      </c>
      <c r="I49" s="10">
        <f t="shared" si="28"/>
        <v>1158199.1912034256</v>
      </c>
      <c r="J49" s="10">
        <f t="shared" si="28"/>
        <v>1149165.9926695214</v>
      </c>
      <c r="K49" s="10">
        <f t="shared" si="28"/>
        <v>1142713.708002447</v>
      </c>
      <c r="L49" s="10">
        <f t="shared" si="28"/>
        <v>1137874.494502141</v>
      </c>
    </row>
    <row r="50" spans="1:12" ht="12.75">
      <c r="A50" t="s">
        <v>18</v>
      </c>
      <c r="E50" s="2">
        <f>IF(E19&gt;(0.5*E17),0.5*E51,0)</f>
        <v>0</v>
      </c>
      <c r="F50" s="2">
        <f aca="true" t="shared" si="29" ref="F50:L50">IF(F19&gt;(0.5*F17),1,0)</f>
        <v>0</v>
      </c>
      <c r="G50" s="2">
        <f t="shared" si="29"/>
        <v>0</v>
      </c>
      <c r="H50" s="2">
        <f t="shared" si="29"/>
        <v>0</v>
      </c>
      <c r="I50" s="2">
        <f t="shared" si="29"/>
        <v>0</v>
      </c>
      <c r="J50" s="2">
        <f t="shared" si="29"/>
        <v>0</v>
      </c>
      <c r="K50" s="2">
        <f t="shared" si="29"/>
        <v>0</v>
      </c>
      <c r="L50" s="2">
        <f t="shared" si="29"/>
        <v>0</v>
      </c>
    </row>
    <row r="51" spans="1:12" ht="12.75">
      <c r="A51" t="s">
        <v>16</v>
      </c>
      <c r="E51" s="2">
        <f>(1/E35)*(IF(((E25/E23&gt;INT(E25/E23))),(INT(E25/E23)+1),(INT(E25/E23))))</f>
        <v>1.6666666666666667</v>
      </c>
      <c r="F51" s="2">
        <f aca="true" t="shared" si="30" ref="F51:L51">(1/F35)*(IF(((F25/F23&gt;INT(F25/F23))),(INT(F25/F23)+1),(INT(F25/F23))))</f>
        <v>1.6666666666666667</v>
      </c>
      <c r="G51" s="2">
        <f t="shared" si="30"/>
        <v>1.6666666666666667</v>
      </c>
      <c r="H51" s="2">
        <f t="shared" si="30"/>
        <v>1.6666666666666667</v>
      </c>
      <c r="I51" s="2">
        <f t="shared" si="30"/>
        <v>1.6666666666666667</v>
      </c>
      <c r="J51" s="2">
        <f t="shared" si="30"/>
        <v>1.6666666666666667</v>
      </c>
      <c r="K51" s="2">
        <f t="shared" si="30"/>
        <v>1.6666666666666667</v>
      </c>
      <c r="L51" s="2">
        <f t="shared" si="30"/>
        <v>1.6666666666666667</v>
      </c>
    </row>
    <row r="52" spans="1:12" ht="12.75">
      <c r="A52" t="s">
        <v>15</v>
      </c>
      <c r="E52" s="2">
        <f>E51+E50</f>
        <v>1.6666666666666667</v>
      </c>
      <c r="F52" s="2">
        <f aca="true" t="shared" si="31" ref="F52:L52">F51+F50</f>
        <v>1.6666666666666667</v>
      </c>
      <c r="G52" s="2">
        <f t="shared" si="31"/>
        <v>1.6666666666666667</v>
      </c>
      <c r="H52" s="2">
        <f t="shared" si="31"/>
        <v>1.6666666666666667</v>
      </c>
      <c r="I52" s="2">
        <f t="shared" si="31"/>
        <v>1.6666666666666667</v>
      </c>
      <c r="J52" s="2">
        <f t="shared" si="31"/>
        <v>1.6666666666666667</v>
      </c>
      <c r="K52" s="2">
        <f t="shared" si="31"/>
        <v>1.6666666666666667</v>
      </c>
      <c r="L52" s="2">
        <f t="shared" si="31"/>
        <v>1.6666666666666667</v>
      </c>
    </row>
    <row r="53" spans="1:12" ht="12.75">
      <c r="A53" t="s">
        <v>12</v>
      </c>
      <c r="D53" t="s">
        <v>50</v>
      </c>
      <c r="E53" s="12">
        <f>-E52*(PMT(E37,E38,E49,0,0)/E38)</f>
        <v>6666.666666666667</v>
      </c>
      <c r="F53" s="12">
        <f aca="true" t="shared" si="32" ref="F53:L53">-F52*(PMT(F37,F38,F49,0,0)/F38)</f>
        <v>488228.74541845085</v>
      </c>
      <c r="G53" s="12">
        <f t="shared" si="32"/>
        <v>497638.3272246012</v>
      </c>
      <c r="H53" s="12">
        <f t="shared" si="32"/>
        <v>488228.74541845085</v>
      </c>
      <c r="I53" s="12">
        <f t="shared" si="32"/>
        <v>482582.9963347608</v>
      </c>
      <c r="J53" s="12">
        <f t="shared" si="32"/>
        <v>478819.1636123007</v>
      </c>
      <c r="K53" s="12">
        <f t="shared" si="32"/>
        <v>476130.71166768635</v>
      </c>
      <c r="L53" s="12">
        <f t="shared" si="32"/>
        <v>474114.3727092254</v>
      </c>
    </row>
    <row r="54" spans="5:12" ht="12.75"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6" t="s">
        <v>68</v>
      </c>
      <c r="D55" t="s">
        <v>30</v>
      </c>
      <c r="E55" s="14">
        <v>2.22</v>
      </c>
      <c r="F55" s="14">
        <v>2.22</v>
      </c>
      <c r="G55" s="14">
        <v>2.22</v>
      </c>
      <c r="H55" s="14">
        <v>2.22</v>
      </c>
      <c r="I55" s="14">
        <v>2.22</v>
      </c>
      <c r="J55" s="14">
        <v>2.22</v>
      </c>
      <c r="K55" s="14">
        <v>2.22</v>
      </c>
      <c r="L55" s="14">
        <v>2.22</v>
      </c>
    </row>
    <row r="56" spans="1:12" ht="12.75">
      <c r="A56" t="s">
        <v>69</v>
      </c>
      <c r="D56" t="s">
        <v>50</v>
      </c>
      <c r="E56" s="12">
        <f>E55*E46</f>
        <v>357164.1353709531</v>
      </c>
      <c r="F56" s="12">
        <f aca="true" t="shared" si="33" ref="F56:L56">F55*F46</f>
        <v>329878.01810962777</v>
      </c>
      <c r="G56" s="12">
        <f t="shared" si="33"/>
        <v>339709.28701528074</v>
      </c>
      <c r="H56" s="12">
        <f t="shared" si="33"/>
        <v>329878.01810962777</v>
      </c>
      <c r="I56" s="12">
        <f t="shared" si="33"/>
        <v>323979.25676623586</v>
      </c>
      <c r="J56" s="12">
        <f t="shared" si="33"/>
        <v>320046.74920397456</v>
      </c>
      <c r="K56" s="12">
        <f t="shared" si="33"/>
        <v>317237.8152309309</v>
      </c>
      <c r="L56" s="12">
        <f t="shared" si="33"/>
        <v>315131.1147511482</v>
      </c>
    </row>
    <row r="57" spans="1:12" ht="12.75">
      <c r="A57" t="s">
        <v>54</v>
      </c>
      <c r="E57" s="12"/>
      <c r="F57" s="12"/>
      <c r="G57" s="12"/>
      <c r="H57" s="12"/>
      <c r="I57" s="12"/>
      <c r="J57" s="12"/>
      <c r="K57" s="12"/>
      <c r="L57" s="12"/>
    </row>
    <row r="58" spans="1:12" ht="12.75">
      <c r="A58" t="s">
        <v>55</v>
      </c>
      <c r="E58" s="11"/>
      <c r="F58" s="11"/>
      <c r="G58" s="11"/>
      <c r="H58" s="11"/>
      <c r="I58" s="11"/>
      <c r="J58" s="11"/>
      <c r="K58" s="11"/>
      <c r="L58" s="11"/>
    </row>
    <row r="59" spans="5:12" ht="12.75">
      <c r="E59" s="11"/>
      <c r="F59" s="11"/>
      <c r="G59" s="11"/>
      <c r="H59" s="11"/>
      <c r="I59" s="11"/>
      <c r="J59" s="11"/>
      <c r="K59" s="11"/>
      <c r="L59" s="11"/>
    </row>
    <row r="60" spans="1:12" ht="12.75">
      <c r="A60" t="s">
        <v>42</v>
      </c>
      <c r="D60" t="s">
        <v>50</v>
      </c>
      <c r="E60" s="10">
        <f>E46+E53+E56</f>
        <v>524715.5477002113</v>
      </c>
      <c r="F60" s="10">
        <f aca="true" t="shared" si="34" ref="F60:L60">F46+F56</f>
        <v>478471.71996081143</v>
      </c>
      <c r="G60" s="10">
        <f t="shared" si="34"/>
        <v>492731.4883735153</v>
      </c>
      <c r="H60" s="10">
        <f t="shared" si="34"/>
        <v>478471.71996081143</v>
      </c>
      <c r="I60" s="10">
        <f t="shared" si="34"/>
        <v>469915.8589131889</v>
      </c>
      <c r="J60" s="10">
        <f t="shared" si="34"/>
        <v>464211.9515481072</v>
      </c>
      <c r="K60" s="10">
        <f t="shared" si="34"/>
        <v>460137.7320016205</v>
      </c>
      <c r="L60" s="10">
        <f t="shared" si="34"/>
        <v>457082.0673417555</v>
      </c>
    </row>
    <row r="61" ht="12.75">
      <c r="E61" s="5" t="s">
        <v>10</v>
      </c>
    </row>
    <row r="62" ht="12.75">
      <c r="A62" t="s">
        <v>59</v>
      </c>
    </row>
    <row r="63" ht="12.75">
      <c r="A63" t="s">
        <v>61</v>
      </c>
    </row>
    <row r="64" ht="12.75">
      <c r="A64" t="s">
        <v>57</v>
      </c>
    </row>
    <row r="65" ht="12.75">
      <c r="A65" t="s">
        <v>58</v>
      </c>
    </row>
    <row r="66" ht="13.5" customHeight="1">
      <c r="A66" t="s">
        <v>67</v>
      </c>
    </row>
    <row r="67" ht="12.75">
      <c r="A67" t="s">
        <v>72</v>
      </c>
    </row>
    <row r="68" ht="12.75">
      <c r="A68" t="s">
        <v>70</v>
      </c>
    </row>
  </sheetData>
  <printOptions horizontalCentered="1" verticalCentered="1"/>
  <pageMargins left="0" right="0" top="0.5" bottom="0.5" header="0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Turner Environmental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Turner</dc:creator>
  <cp:keywords/>
  <dc:description/>
  <cp:lastModifiedBy>Bill Turner</cp:lastModifiedBy>
  <cp:lastPrinted>1999-02-23T22:03:02Z</cp:lastPrinted>
  <dcterms:created xsi:type="dcterms:W3CDTF">1999-02-23T13:46:13Z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